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Weight &amp; Balance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<sst xmlns="http://schemas.openxmlformats.org/spreadsheetml/2006/main" count="52" uniqueCount="50">
  <si>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G-GYAV WEIGHT &amp; BALANCE CALCULATIONS</t>
  </si>
  <si>
    <t>Aircraft Data</t>
  </si>
  <si>
    <t>Type</t>
  </si>
  <si>
    <t>C172</t>
  </si>
  <si>
    <t>Reg</t>
  </si>
  <si>
    <t>G-GYAV</t>
  </si>
  <si>
    <t>Passengers &amp; Luggage</t>
  </si>
  <si>
    <t>Stones</t>
  </si>
  <si>
    <t>Pounds</t>
  </si>
  <si>
    <t>Basic Empty Weight</t>
  </si>
  <si>
    <t>Enter Pilot Weight</t>
  </si>
  <si>
    <t>Maximum All Up Weight</t>
  </si>
  <si>
    <t>Enter Front Passenger Weight</t>
  </si>
  <si>
    <t>Aerobatic max weight</t>
  </si>
  <si>
    <t>Enter Rear Passenger No. 1 Weight</t>
  </si>
  <si>
    <t>Aircraft Lever Arm</t>
  </si>
  <si>
    <t>Enter Rear Passenger No.2 Weight</t>
  </si>
  <si>
    <t>Front seats Lever Arm</t>
  </si>
  <si>
    <t>Rear Seats Lever Arm</t>
  </si>
  <si>
    <t>Fuel tanks Lever Arm</t>
  </si>
  <si>
    <t>Luggage Lever Arm</t>
  </si>
  <si>
    <t>Weight</t>
  </si>
  <si>
    <t>Aero Forward C of G</t>
  </si>
  <si>
    <t>Centre of Gravity</t>
  </si>
  <si>
    <t>Max Forward C of G</t>
  </si>
  <si>
    <t>litres</t>
  </si>
  <si>
    <t>Max Aft C of G</t>
  </si>
  <si>
    <t>Fuel</t>
  </si>
  <si>
    <t>Total</t>
  </si>
  <si>
    <t>Useable</t>
  </si>
  <si>
    <t>Pilot Weight (lbs)</t>
  </si>
  <si>
    <t>Front Passenger Weight (lbs)</t>
  </si>
  <si>
    <t>Rear Passenger 1 Wt (lbs)</t>
  </si>
  <si>
    <t>Rear Passenger 2 Wt (lbs)</t>
  </si>
  <si>
    <t>Fuel (lbs)</t>
  </si>
  <si>
    <t>Total Weight (pounds)</t>
  </si>
  <si>
    <t>Moment</t>
  </si>
  <si>
    <t>Centre of Mass</t>
  </si>
  <si>
    <t>Y</t>
  </si>
  <si>
    <t>X</t>
  </si>
  <si>
    <t>Enter actual fuel load (Litres)</t>
  </si>
  <si>
    <t>Imp G</t>
  </si>
  <si>
    <t>lbs</t>
  </si>
  <si>
    <t>Former</t>
  </si>
  <si>
    <t>Values</t>
  </si>
  <si>
    <t>CG Envelope Limits</t>
  </si>
  <si>
    <t>Version 4.0 08/04/11</t>
  </si>
  <si>
    <t>Kilograms</t>
  </si>
  <si>
    <t>Luggage</t>
  </si>
  <si>
    <t>Enter Weights in Stones and pounds, just pounds or in Kilograms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</si>
</sst>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>
        <color indexed="10"/>
      </left>
      <right>
        <color indexed="63"/>
      </right>
      <top style="medium">
        <color indexed="10"/>
      </top>
      <bottom style="thick"/>
    </border>
    <border>
      <left>
        <color indexed="63"/>
      </left>
      <right style="medium">
        <color indexed="10"/>
      </right>
      <top style="medium">
        <color indexed="10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0" fillId="0" borderId="16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22" borderId="11" xfId="0" applyFont="1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/>
    </xf>
    <xf numFmtId="1" fontId="0" fillId="24" borderId="17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7" borderId="11" xfId="0" applyFill="1" applyBorder="1" applyAlignment="1">
      <alignment/>
    </xf>
    <xf numFmtId="0" fontId="0" fillId="7" borderId="13" xfId="0" applyFill="1" applyBorder="1" applyAlignment="1">
      <alignment/>
    </xf>
    <xf numFmtId="1" fontId="1" fillId="7" borderId="0" xfId="0" applyNumberFormat="1" applyFont="1" applyFill="1" applyAlignment="1">
      <alignment horizontal="center"/>
    </xf>
    <xf numFmtId="1" fontId="1" fillId="7" borderId="10" xfId="0" applyNumberFormat="1" applyFont="1" applyFill="1" applyBorder="1" applyAlignment="1">
      <alignment horizontal="left"/>
    </xf>
    <xf numFmtId="0" fontId="0" fillId="7" borderId="14" xfId="0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172" fontId="1" fillId="7" borderId="22" xfId="0" applyNumberFormat="1" applyFont="1" applyFill="1" applyBorder="1" applyAlignment="1">
      <alignment/>
    </xf>
    <xf numFmtId="0" fontId="1" fillId="7" borderId="15" xfId="0" applyFont="1" applyFill="1" applyBorder="1" applyAlignment="1">
      <alignment/>
    </xf>
    <xf numFmtId="1" fontId="1" fillId="7" borderId="23" xfId="0" applyNumberFormat="1" applyFont="1" applyFill="1" applyBorder="1" applyAlignment="1">
      <alignment horizontal="left"/>
    </xf>
    <xf numFmtId="1" fontId="1" fillId="7" borderId="12" xfId="0" applyNumberFormat="1" applyFont="1" applyFill="1" applyBorder="1" applyAlignment="1">
      <alignment horizontal="left"/>
    </xf>
    <xf numFmtId="0" fontId="1" fillId="7" borderId="0" xfId="0" applyFont="1" applyFill="1" applyAlignment="1">
      <alignment horizontal="left"/>
    </xf>
    <xf numFmtId="0" fontId="1" fillId="7" borderId="10" xfId="0" applyFont="1" applyFill="1" applyBorder="1" applyAlignment="1">
      <alignment horizontal="left"/>
    </xf>
    <xf numFmtId="0" fontId="1" fillId="22" borderId="24" xfId="0" applyFont="1" applyFill="1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15" xfId="0" applyNumberFormat="1" applyBorder="1" applyAlignment="1">
      <alignment/>
    </xf>
    <xf numFmtId="1" fontId="0" fillId="0" borderId="25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3" fillId="19" borderId="26" xfId="0" applyFont="1" applyFill="1" applyBorder="1" applyAlignment="1">
      <alignment horizontal="left" vertical="center"/>
    </xf>
    <xf numFmtId="0" fontId="23" fillId="19" borderId="27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475"/>
          <c:w val="0.97175"/>
          <c:h val="0.7745"/>
        </c:manualLayout>
      </c:layout>
      <c:scatterChart>
        <c:scatterStyle val="smoothMarker"/>
        <c:varyColors val="0"/>
        <c:ser>
          <c:idx val="0"/>
          <c:order val="0"/>
          <c:tx>
            <c:v>Weight-CG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Balance'!$G$36:$G$40</c:f>
              <c:numCache/>
            </c:numRef>
          </c:xVal>
          <c:yVal>
            <c:numRef>
              <c:f>'Weight &amp; Balance'!$H$36:$H$40</c:f>
              <c:numCache/>
            </c:numRef>
          </c:yVal>
          <c:smooth val="1"/>
        </c:ser>
        <c:ser>
          <c:idx val="2"/>
          <c:order val="1"/>
          <c:tx>
            <c:v>CG Position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Balance'!$H$31</c:f>
              <c:numCache/>
            </c:numRef>
          </c:xVal>
          <c:yVal>
            <c:numRef>
              <c:f>'Weight &amp; Balance'!$H$29</c:f>
              <c:numCache/>
            </c:numRef>
          </c:yVal>
          <c:smooth val="1"/>
        </c:ser>
        <c:axId val="14510551"/>
        <c:axId val="39928360"/>
      </c:scatterChart>
      <c:valAx>
        <c:axId val="14510551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CG Position aft of datum (in)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28360"/>
        <c:crosses val="autoZero"/>
        <c:crossBetween val="midCat"/>
        <c:dispUnits/>
        <c:majorUnit val="2"/>
        <c:minorUnit val="2"/>
      </c:valAx>
      <c:valAx>
        <c:axId val="39928360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lbs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10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025"/>
          <c:y val="0"/>
          <c:w val="0.5012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2</xdr:col>
      <xdr:colOff>323850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200025" y="3581400"/>
        <a:ext cx="37909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.00390625" style="0" customWidth="1"/>
    <col min="2" max="2" width="52.00390625" style="0" customWidth="1"/>
    <col min="4" max="4" width="10.00390625" style="0" customWidth="1"/>
    <col min="5" max="5" width="11.28125" style="0" customWidth="1"/>
    <col min="6" max="6" width="6.57421875" style="0" customWidth="1"/>
    <col min="7" max="7" width="21.28125" style="0" customWidth="1"/>
    <col min="8" max="10" width="8.421875" style="0" customWidth="1"/>
  </cols>
  <sheetData>
    <row r="1" spans="2:8" ht="20.25" customHeight="1">
      <c r="B1" s="10" t="s">
        <v>0</v>
      </c>
      <c r="G1" s="8" t="s">
        <v>1</v>
      </c>
      <c r="H1" s="3"/>
    </row>
    <row r="2" spans="2:10" ht="12.75" customHeight="1" thickBot="1">
      <c r="B2" t="s">
        <v>46</v>
      </c>
      <c r="G2" s="4" t="s">
        <v>2</v>
      </c>
      <c r="H2" s="7" t="s">
        <v>3</v>
      </c>
      <c r="J2" s="39" t="s">
        <v>43</v>
      </c>
    </row>
    <row r="3" spans="2:10" ht="18" customHeight="1" thickBot="1">
      <c r="B3" s="40" t="s">
        <v>49</v>
      </c>
      <c r="C3" s="41"/>
      <c r="G3" s="4" t="s">
        <v>4</v>
      </c>
      <c r="H3" s="7" t="s">
        <v>5</v>
      </c>
      <c r="J3" s="39" t="s">
        <v>44</v>
      </c>
    </row>
    <row r="4" spans="2:10" ht="12.75" customHeight="1" thickTop="1">
      <c r="B4" s="11" t="s">
        <v>6</v>
      </c>
      <c r="C4" s="23" t="s">
        <v>7</v>
      </c>
      <c r="D4" s="24" t="s">
        <v>8</v>
      </c>
      <c r="E4" s="24" t="s">
        <v>47</v>
      </c>
      <c r="G4" s="4" t="s">
        <v>9</v>
      </c>
      <c r="H4" s="1">
        <v>1551</v>
      </c>
      <c r="J4">
        <v>1552</v>
      </c>
    </row>
    <row r="5" spans="2:8" ht="12.75" customHeight="1">
      <c r="B5" s="12" t="s">
        <v>10</v>
      </c>
      <c r="C5" s="9"/>
      <c r="D5" s="22"/>
      <c r="E5" s="22">
        <v>70</v>
      </c>
      <c r="G5" s="4" t="s">
        <v>11</v>
      </c>
      <c r="H5" s="1">
        <v>2307</v>
      </c>
    </row>
    <row r="6" spans="2:8" ht="12.75" customHeight="1">
      <c r="B6" s="12" t="s">
        <v>12</v>
      </c>
      <c r="C6" s="9"/>
      <c r="D6" s="22"/>
      <c r="E6" s="22">
        <v>65</v>
      </c>
      <c r="G6" s="4" t="s">
        <v>13</v>
      </c>
      <c r="H6" s="1">
        <v>1950</v>
      </c>
    </row>
    <row r="7" spans="2:10" ht="12.75" customHeight="1">
      <c r="B7" s="12" t="s">
        <v>14</v>
      </c>
      <c r="C7" s="9"/>
      <c r="D7" s="22"/>
      <c r="E7" s="22">
        <v>78</v>
      </c>
      <c r="G7" s="4" t="s">
        <v>15</v>
      </c>
      <c r="H7" s="1">
        <v>39.65</v>
      </c>
      <c r="J7">
        <v>39.86</v>
      </c>
    </row>
    <row r="8" spans="2:8" ht="12.75" customHeight="1">
      <c r="B8" s="12" t="s">
        <v>16</v>
      </c>
      <c r="C8" s="9"/>
      <c r="D8" s="22"/>
      <c r="E8" s="22"/>
      <c r="G8" s="4" t="s">
        <v>17</v>
      </c>
      <c r="H8" s="1">
        <v>37</v>
      </c>
    </row>
    <row r="9" spans="2:8" ht="12.75" customHeight="1" thickBot="1">
      <c r="B9" s="13" t="s">
        <v>48</v>
      </c>
      <c r="C9" s="14"/>
      <c r="D9" s="21"/>
      <c r="E9" s="21">
        <v>50</v>
      </c>
      <c r="G9" s="4" t="s">
        <v>18</v>
      </c>
      <c r="H9" s="1">
        <v>73</v>
      </c>
    </row>
    <row r="10" spans="3:8" ht="12.75" customHeight="1" thickTop="1">
      <c r="C10" s="15"/>
      <c r="G10" s="4" t="s">
        <v>19</v>
      </c>
      <c r="H10" s="1">
        <v>46</v>
      </c>
    </row>
    <row r="11" spans="3:8" ht="12.75" customHeight="1" thickBot="1">
      <c r="C11" s="15"/>
      <c r="G11" s="4" t="s">
        <v>20</v>
      </c>
      <c r="H11" s="1">
        <v>95</v>
      </c>
    </row>
    <row r="12" spans="2:8" ht="12.75" customHeight="1" thickBot="1" thickTop="1">
      <c r="B12" s="31" t="s">
        <v>40</v>
      </c>
      <c r="C12" s="38">
        <v>112</v>
      </c>
      <c r="G12" s="4" t="s">
        <v>22</v>
      </c>
      <c r="H12" s="1">
        <v>35</v>
      </c>
    </row>
    <row r="13" spans="7:8" ht="12.75" customHeight="1" thickTop="1">
      <c r="G13" s="4"/>
      <c r="H13" s="1"/>
    </row>
    <row r="14" spans="7:8" ht="12.75" customHeight="1" thickBot="1">
      <c r="G14" s="4" t="s">
        <v>24</v>
      </c>
      <c r="H14" s="1">
        <v>38.5</v>
      </c>
    </row>
    <row r="15" spans="2:8" ht="12.75" customHeight="1" thickBot="1" thickTop="1">
      <c r="B15" s="16" t="s">
        <v>21</v>
      </c>
      <c r="C15" s="27" t="str">
        <f>IF(H29&gt;H5,"Outside limits","Within limits")</f>
        <v>Within limits</v>
      </c>
      <c r="D15" s="28"/>
      <c r="G15" s="5" t="s">
        <v>26</v>
      </c>
      <c r="H15" s="6">
        <v>47.3</v>
      </c>
    </row>
    <row r="16" spans="2:4" ht="12.75" customHeight="1" thickBot="1" thickTop="1">
      <c r="B16" s="17">
        <f>IF(H29&gt;H5,"Overweight by","")</f>
      </c>
      <c r="C16" s="18">
        <f>IF(H29&gt;H5,H29-H5,"")</f>
      </c>
      <c r="D16" s="19">
        <f>IF(H29&gt;H5,"lbs","")</f>
      </c>
    </row>
    <row r="17" spans="2:10" ht="12.75" customHeight="1" thickTop="1">
      <c r="B17" s="17" t="s">
        <v>23</v>
      </c>
      <c r="C17" s="29" t="str">
        <f>IF(H31&lt;H14,"Outside limits",(IF(H31&gt;H15,"Outside limits","Within limits")))</f>
        <v>Within limits</v>
      </c>
      <c r="D17" s="30"/>
      <c r="G17" s="8" t="s">
        <v>27</v>
      </c>
      <c r="H17" s="32" t="s">
        <v>25</v>
      </c>
      <c r="I17" s="32" t="s">
        <v>41</v>
      </c>
      <c r="J17" s="3" t="s">
        <v>42</v>
      </c>
    </row>
    <row r="18" spans="2:10" ht="12.75" customHeight="1" thickBot="1">
      <c r="B18" s="20" t="str">
        <f>IF(C18&lt;156,"Max Safe Fuel Load ","Max Safe Fuel Load (Full Tanks)")</f>
        <v>Max Safe Fuel Load </v>
      </c>
      <c r="C18" s="25">
        <f>IF(((H5-H4-(H22+H23+H24+H25+H27))*4.546/7.2)&gt;H18,H18,(H5-H4-(H22+H23+H24+H25+H27))*4.546/7.2)</f>
        <v>112.00838888888887</v>
      </c>
      <c r="D18" s="26" t="s">
        <v>25</v>
      </c>
      <c r="G18" s="4" t="s">
        <v>28</v>
      </c>
      <c r="H18">
        <v>156</v>
      </c>
      <c r="I18" s="33">
        <f>H18/4.546</f>
        <v>34.3158820941487</v>
      </c>
      <c r="J18" s="34">
        <f>I18*7.2</f>
        <v>247.07435107787063</v>
      </c>
    </row>
    <row r="19" spans="7:10" ht="14.25" thickBot="1" thickTop="1">
      <c r="G19" s="5" t="s">
        <v>29</v>
      </c>
      <c r="H19" s="35">
        <v>145</v>
      </c>
      <c r="I19" s="36">
        <f>H19/4.546</f>
        <v>31.896172459304882</v>
      </c>
      <c r="J19" s="37">
        <f>I19*7.2</f>
        <v>229.65244170699515</v>
      </c>
    </row>
    <row r="20" ht="12.75" customHeight="1" thickTop="1"/>
    <row r="21" ht="12.75" customHeight="1" thickBot="1"/>
    <row r="22" spans="7:8" ht="12.75" customHeight="1" thickTop="1">
      <c r="G22" s="2" t="s">
        <v>30</v>
      </c>
      <c r="H22" s="3">
        <f>IF(E5=0,IF(C5=0,D5,C5*14+D5),E5*2.2)</f>
        <v>154</v>
      </c>
    </row>
    <row r="23" spans="7:8" ht="12.75">
      <c r="G23" s="4" t="s">
        <v>31</v>
      </c>
      <c r="H23" s="1">
        <f>IF(E6=0,IF(C6=0,D6,C6*14+D6),E6*2.2)</f>
        <v>143</v>
      </c>
    </row>
    <row r="24" spans="7:8" ht="12.75">
      <c r="G24" s="4" t="s">
        <v>32</v>
      </c>
      <c r="H24" s="1">
        <f>IF(E7=0,IF(C7=0,D7,C7*14+D7),E7*2.2)</f>
        <v>171.60000000000002</v>
      </c>
    </row>
    <row r="25" spans="7:8" ht="12.75" customHeight="1">
      <c r="G25" s="4" t="s">
        <v>33</v>
      </c>
      <c r="H25" s="1">
        <f>IF(E8=0,IF(C8=0,D8,C8*14+D8),E8*2.2)</f>
        <v>0</v>
      </c>
    </row>
    <row r="26" spans="7:8" ht="12.75" customHeight="1">
      <c r="G26" s="4" t="s">
        <v>34</v>
      </c>
      <c r="H26" s="1">
        <f>C12*7.2/4.546</f>
        <v>177.38671359436867</v>
      </c>
    </row>
    <row r="27" spans="7:8" ht="12.75" customHeight="1" thickBot="1">
      <c r="G27" s="5" t="s">
        <v>48</v>
      </c>
      <c r="H27" s="6">
        <f>IF(E9=0,IF(C9=0,D9,C9*14+D9),E9*2.2)</f>
        <v>110.00000000000001</v>
      </c>
    </row>
    <row r="28" ht="12.75" customHeight="1" thickBot="1" thickTop="1"/>
    <row r="29" spans="7:8" ht="12.75" customHeight="1" thickTop="1">
      <c r="G29" s="2" t="s">
        <v>35</v>
      </c>
      <c r="H29" s="3">
        <f>SUM(H22:H27)+H4</f>
        <v>2306.9867135943687</v>
      </c>
    </row>
    <row r="30" spans="7:8" ht="12.75" customHeight="1">
      <c r="G30" s="4" t="s">
        <v>36</v>
      </c>
      <c r="H30" s="1">
        <f>(H4*H7)+((H22+H23)*H8)+((H24+H25)*H9)+(H26*H10)+(H27*H11)</f>
        <v>103622.73882534096</v>
      </c>
    </row>
    <row r="31" spans="7:8" ht="12.75">
      <c r="G31" s="4" t="s">
        <v>37</v>
      </c>
      <c r="H31" s="1">
        <f>H30/H29</f>
        <v>44.916920507050946</v>
      </c>
    </row>
    <row r="32" spans="7:8" ht="12.75" customHeight="1">
      <c r="G32" s="4" t="s">
        <v>38</v>
      </c>
      <c r="H32" s="1">
        <f>(H29-H6)/(H5-H6)</f>
        <v>0.9999627831775033</v>
      </c>
    </row>
    <row r="33" spans="7:8" ht="12.75" customHeight="1" thickBot="1">
      <c r="G33" s="5" t="s">
        <v>39</v>
      </c>
      <c r="H33" s="6">
        <f>(H31-H12)/(H14-H12)</f>
        <v>2.833405859157413</v>
      </c>
    </row>
    <row r="34" ht="12.75" customHeight="1" thickBot="1" thickTop="1"/>
    <row r="35" spans="7:8" ht="12.75" customHeight="1" thickTop="1">
      <c r="G35" s="2" t="s">
        <v>45</v>
      </c>
      <c r="H35" s="3"/>
    </row>
    <row r="36" spans="7:8" ht="12.75" customHeight="1">
      <c r="G36" s="4">
        <v>35</v>
      </c>
      <c r="H36" s="1">
        <v>0</v>
      </c>
    </row>
    <row r="37" spans="7:8" ht="12.75">
      <c r="G37" s="4">
        <v>35</v>
      </c>
      <c r="H37" s="1">
        <v>1950</v>
      </c>
    </row>
    <row r="38" spans="7:8" ht="12.75" customHeight="1">
      <c r="G38" s="4">
        <v>38.5</v>
      </c>
      <c r="H38" s="1">
        <v>2300</v>
      </c>
    </row>
    <row r="39" spans="7:8" ht="12.75" customHeight="1">
      <c r="G39" s="4">
        <v>47.3</v>
      </c>
      <c r="H39" s="1">
        <v>2300</v>
      </c>
    </row>
    <row r="40" spans="7:8" ht="12.75" customHeight="1" thickBot="1">
      <c r="G40" s="5">
        <v>47.3</v>
      </c>
      <c r="H40" s="6">
        <v>0</v>
      </c>
    </row>
    <row r="41" ht="13.5" thickTop="1"/>
  </sheetData>
  <sheetProtection/>
  <mergeCells count="1">
    <mergeCell ref="B3:C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WTL</dc:creator>
  <cp:keywords/>
  <dc:description/>
  <cp:lastModifiedBy>Peter Dodds</cp:lastModifiedBy>
  <dcterms:created xsi:type="dcterms:W3CDTF">2010-05-17T12:46:12Z</dcterms:created>
  <dcterms:modified xsi:type="dcterms:W3CDTF">2011-04-08T13:11:46Z</dcterms:modified>
  <cp:category/>
  <cp:version/>
  <cp:contentType/>
  <cp:contentStatus/>
</cp:coreProperties>
</file>